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<sst xmlns="http://schemas.openxmlformats.org/spreadsheetml/2006/main" count="1110" uniqueCount="282">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</sst>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279</v>
      </c>
      <c r="N3" s="244" t="s">
        <v>280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276</v>
      </c>
      <c r="F4" s="227" t="s">
        <v>116</v>
      </c>
      <c r="G4" s="229" t="s">
        <v>277</v>
      </c>
      <c r="H4" s="231" t="s">
        <v>278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253332.81999999998</v>
      </c>
      <c r="G8" s="18">
        <f aca="true" t="shared" si="0" ref="G8:G54">F8-E8</f>
        <v>-11177.079999999987</v>
      </c>
      <c r="H8" s="45">
        <f>F8/E8*100</f>
        <v>95.77441902930666</v>
      </c>
      <c r="I8" s="31">
        <f aca="true" t="shared" si="1" ref="I8:I54">F8-D8</f>
        <v>-264096.18000000005</v>
      </c>
      <c r="J8" s="31">
        <f aca="true" t="shared" si="2" ref="J8:J14">F8/D8*100</f>
        <v>48.95991913866443</v>
      </c>
      <c r="K8" s="18">
        <f>K9+K15+K18+K19+K20+K32</f>
        <v>57683.900000000016</v>
      </c>
      <c r="L8" s="18"/>
      <c r="M8" s="18">
        <f>M9+M15+M18+M19+M20+M32+M17</f>
        <v>40984.19999999999</v>
      </c>
      <c r="N8" s="18">
        <f>N9+N15+N18+N19+N20+N32+N17</f>
        <v>600.7200000000121</v>
      </c>
      <c r="O8" s="31">
        <f aca="true" t="shared" si="3" ref="O8:O54">N8-M8</f>
        <v>-40383.47999999998</v>
      </c>
      <c r="P8" s="31">
        <f>F8/M8*100</f>
        <v>618.1231303770722</v>
      </c>
      <c r="Q8" s="31">
        <f>N8-33748.16</f>
        <v>-33147.43999999999</v>
      </c>
      <c r="R8" s="125">
        <f>N8/33748.16</f>
        <v>0.017800081545186818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138347.82</v>
      </c>
      <c r="G9" s="43">
        <f t="shared" si="0"/>
        <v>-17010.829999999987</v>
      </c>
      <c r="H9" s="35">
        <f aca="true" t="shared" si="4" ref="H9:H32">F9/E9*100</f>
        <v>89.050606451588</v>
      </c>
      <c r="I9" s="50">
        <f t="shared" si="1"/>
        <v>-174342.18</v>
      </c>
      <c r="J9" s="50">
        <f t="shared" si="2"/>
        <v>44.24440180370335</v>
      </c>
      <c r="K9" s="132">
        <f>F9-148760.15/75*60</f>
        <v>19339.70000000001</v>
      </c>
      <c r="L9" s="132">
        <f>F9/(148760.15/75*60)*100</f>
        <v>116.25073986548146</v>
      </c>
      <c r="M9" s="35">
        <f>E9-травень!E9</f>
        <v>27546</v>
      </c>
      <c r="N9" s="35">
        <f>F9-травень!F9</f>
        <v>265.320000000007</v>
      </c>
      <c r="O9" s="47">
        <f t="shared" si="3"/>
        <v>-27280.679999999993</v>
      </c>
      <c r="P9" s="50">
        <f aca="true" t="shared" si="5" ref="P9:P32">N9/M9*100</f>
        <v>0.9631888477456145</v>
      </c>
      <c r="Q9" s="132">
        <f>N9-26568.11</f>
        <v>-26302.789999999994</v>
      </c>
      <c r="R9" s="133">
        <f>N9/26568.11</f>
        <v>0.009986408517580174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122422.38</v>
      </c>
      <c r="G10" s="135">
        <f t="shared" si="0"/>
        <v>-14271.869999999995</v>
      </c>
      <c r="H10" s="137">
        <f t="shared" si="4"/>
        <v>89.55927553646184</v>
      </c>
      <c r="I10" s="136">
        <f t="shared" si="1"/>
        <v>-117987.62</v>
      </c>
      <c r="J10" s="136">
        <f t="shared" si="2"/>
        <v>50.92233268166881</v>
      </c>
      <c r="K10" s="138">
        <f>F10-134812.74/75*60</f>
        <v>14572.18800000001</v>
      </c>
      <c r="L10" s="138">
        <f>F10/(134812.74/75*60)*100</f>
        <v>113.51150863041579</v>
      </c>
      <c r="M10" s="137">
        <f>E10-травень!E10</f>
        <v>24072</v>
      </c>
      <c r="N10" s="137">
        <f>F10-травень!F10</f>
        <v>228.63999999999942</v>
      </c>
      <c r="O10" s="138">
        <f t="shared" si="3"/>
        <v>-23843.36</v>
      </c>
      <c r="P10" s="136">
        <f t="shared" si="5"/>
        <v>0.9498172150215995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7771.39</v>
      </c>
      <c r="G11" s="135">
        <f t="shared" si="0"/>
        <v>-3016.6099999999997</v>
      </c>
      <c r="H11" s="137">
        <f t="shared" si="4"/>
        <v>72.03735632183908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E11-травень!E11</f>
        <v>1830</v>
      </c>
      <c r="N11" s="137">
        <f>F11-травень!F11</f>
        <v>0</v>
      </c>
      <c r="O11" s="138">
        <f t="shared" si="3"/>
        <v>-1830</v>
      </c>
      <c r="P11" s="136">
        <f t="shared" si="5"/>
        <v>0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2181.3</v>
      </c>
      <c r="G12" s="135">
        <f t="shared" si="0"/>
        <v>-317.6999999999998</v>
      </c>
      <c r="H12" s="137">
        <f t="shared" si="4"/>
        <v>87.28691476590636</v>
      </c>
      <c r="I12" s="136">
        <f t="shared" si="1"/>
        <v>-3618.7</v>
      </c>
      <c r="J12" s="136">
        <f t="shared" si="2"/>
        <v>37.608620689655176</v>
      </c>
      <c r="K12" s="138">
        <f>F12-2098.76/75*60</f>
        <v>502.29200000000014</v>
      </c>
      <c r="L12" s="138">
        <f>F12/(2098.76/75*60)*100</f>
        <v>129.91599801787723</v>
      </c>
      <c r="M12" s="137">
        <f>E12-травень!E12</f>
        <v>330</v>
      </c>
      <c r="N12" s="137">
        <f>F12-травень!F12</f>
        <v>12.269999999999982</v>
      </c>
      <c r="O12" s="138">
        <f t="shared" si="3"/>
        <v>-317.73</v>
      </c>
      <c r="P12" s="136">
        <f t="shared" si="5"/>
        <v>3.718181818181813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2328.08</v>
      </c>
      <c r="G13" s="135">
        <f t="shared" si="0"/>
        <v>-1015.3200000000002</v>
      </c>
      <c r="H13" s="137">
        <f t="shared" si="4"/>
        <v>69.6321110247054</v>
      </c>
      <c r="I13" s="136">
        <f t="shared" si="1"/>
        <v>-6071.92</v>
      </c>
      <c r="J13" s="136">
        <f t="shared" si="2"/>
        <v>27.715238095238092</v>
      </c>
      <c r="K13" s="138">
        <f>F13-2795.76/75*60</f>
        <v>91.47199999999975</v>
      </c>
      <c r="L13" s="138">
        <f>F13/(2795.76/75*60)*100</f>
        <v>104.08976450052936</v>
      </c>
      <c r="M13" s="137">
        <f>E13-травень!E13</f>
        <v>924</v>
      </c>
      <c r="N13" s="137">
        <f>F13-травень!F13</f>
        <v>24.409999999999854</v>
      </c>
      <c r="O13" s="138">
        <f t="shared" si="3"/>
        <v>-899.5900000000001</v>
      </c>
      <c r="P13" s="136">
        <f t="shared" si="5"/>
        <v>2.641774891774876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3644.66</v>
      </c>
      <c r="G14" s="135">
        <f t="shared" si="0"/>
        <v>1610.6599999999999</v>
      </c>
      <c r="H14" s="137">
        <f t="shared" si="4"/>
        <v>179.18682399213372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E14-травень!E14</f>
        <v>390</v>
      </c>
      <c r="N14" s="137">
        <f>F14-травень!F14</f>
        <v>0</v>
      </c>
      <c r="O14" s="138">
        <f t="shared" si="3"/>
        <v>-390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-880.74</v>
      </c>
      <c r="G15" s="43">
        <f t="shared" si="0"/>
        <v>-1052.04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E15-травень!E15</f>
        <v>0.10000000000002274</v>
      </c>
      <c r="N15" s="35">
        <f>F15-травень!F15</f>
        <v>0</v>
      </c>
      <c r="O15" s="47">
        <f t="shared" si="3"/>
        <v>-0.10000000000002274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137">
        <f>E16-травень!E16</f>
        <v>0</v>
      </c>
      <c r="N16" s="137">
        <f>F16-травень!F16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23144.53</v>
      </c>
      <c r="G19" s="43">
        <f t="shared" si="0"/>
        <v>4641.779999999999</v>
      </c>
      <c r="H19" s="35">
        <f t="shared" si="4"/>
        <v>125.08697355798462</v>
      </c>
      <c r="I19" s="50">
        <f t="shared" si="1"/>
        <v>-6805.470000000001</v>
      </c>
      <c r="J19" s="178">
        <f>F19/D19*100</f>
        <v>77.2772287145242</v>
      </c>
      <c r="K19" s="179">
        <f>F19-0</f>
        <v>23144.53</v>
      </c>
      <c r="L19" s="180"/>
      <c r="M19" s="35">
        <f>E19-травень!E19</f>
        <v>2720</v>
      </c>
      <c r="N19" s="35">
        <f>F19-травень!F19</f>
        <v>4.049999999999272</v>
      </c>
      <c r="O19" s="47">
        <f t="shared" si="3"/>
        <v>-2715.9500000000007</v>
      </c>
      <c r="P19" s="50">
        <f t="shared" si="5"/>
        <v>0.14889705882350268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88684.7</v>
      </c>
      <c r="G20" s="43">
        <f t="shared" si="0"/>
        <v>2215.300000000003</v>
      </c>
      <c r="H20" s="35">
        <f t="shared" si="4"/>
        <v>102.56194676960868</v>
      </c>
      <c r="I20" s="50">
        <f t="shared" si="1"/>
        <v>-78085.3</v>
      </c>
      <c r="J20" s="178">
        <f aca="true" t="shared" si="6" ref="J20:J46">F20/D20*100</f>
        <v>53.17784973316544</v>
      </c>
      <c r="K20" s="178">
        <f>K21+K25+K26+K27</f>
        <v>17985.140000000003</v>
      </c>
      <c r="L20" s="136"/>
      <c r="M20" s="35">
        <f>E20-травень!E20</f>
        <v>10717.799999999988</v>
      </c>
      <c r="N20" s="35">
        <f>F20-травень!F20</f>
        <v>331.3500000000058</v>
      </c>
      <c r="O20" s="47">
        <f t="shared" si="3"/>
        <v>-10386.449999999983</v>
      </c>
      <c r="P20" s="50">
        <f t="shared" si="5"/>
        <v>3.0915859598052418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45944.34</v>
      </c>
      <c r="G21" s="43">
        <f t="shared" si="0"/>
        <v>-2332.8600000000006</v>
      </c>
      <c r="H21" s="35">
        <f t="shared" si="4"/>
        <v>95.16778106435336</v>
      </c>
      <c r="I21" s="50">
        <f t="shared" si="1"/>
        <v>-52255.66</v>
      </c>
      <c r="J21" s="178">
        <f t="shared" si="6"/>
        <v>46.78649694501018</v>
      </c>
      <c r="K21" s="178">
        <f>K22+K23+K24</f>
        <v>13110.080000000002</v>
      </c>
      <c r="L21" s="136"/>
      <c r="M21" s="35">
        <f>E21-травень!E21</f>
        <v>8363.099999999999</v>
      </c>
      <c r="N21" s="35">
        <f>F21-травень!F21</f>
        <v>152.9899999999907</v>
      </c>
      <c r="O21" s="47">
        <f t="shared" si="3"/>
        <v>-8210.110000000008</v>
      </c>
      <c r="P21" s="50">
        <f t="shared" si="5"/>
        <v>1.8293455775967131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4440.47</v>
      </c>
      <c r="G22" s="135">
        <f t="shared" si="0"/>
        <v>4154.27</v>
      </c>
      <c r="H22" s="137">
        <f t="shared" si="4"/>
        <v>1551.5269042627535</v>
      </c>
      <c r="I22" s="136">
        <f t="shared" si="1"/>
        <v>3440.4700000000003</v>
      </c>
      <c r="J22" s="136">
        <f t="shared" si="6"/>
        <v>444.047</v>
      </c>
      <c r="K22" s="136">
        <f>F22-129.75</f>
        <v>4310.72</v>
      </c>
      <c r="L22" s="136">
        <f>F22/129.75*100</f>
        <v>3422.3275529865127</v>
      </c>
      <c r="M22" s="137">
        <f>E22-травень!E22</f>
        <v>10.099999999999966</v>
      </c>
      <c r="N22" s="137">
        <f>F22-травень!F22</f>
        <v>1.0100000000002183</v>
      </c>
      <c r="O22" s="138">
        <f t="shared" si="3"/>
        <v>-9.089999999999748</v>
      </c>
      <c r="P22" s="136">
        <f t="shared" si="5"/>
        <v>10.000000000002194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E23-травень!E23</f>
        <v>0</v>
      </c>
      <c r="N23" s="137">
        <f>F23-травень!F23</f>
        <v>0</v>
      </c>
      <c r="O23" s="138">
        <f t="shared" si="3"/>
        <v>0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41330.78</v>
      </c>
      <c r="G24" s="135">
        <f t="shared" si="0"/>
        <v>-6410.220000000001</v>
      </c>
      <c r="H24" s="137">
        <f t="shared" si="4"/>
        <v>86.57292473974152</v>
      </c>
      <c r="I24" s="136">
        <f t="shared" si="1"/>
        <v>-54369.22</v>
      </c>
      <c r="J24" s="136">
        <f t="shared" si="6"/>
        <v>43.18785788923719</v>
      </c>
      <c r="K24" s="139">
        <f>F24-32704.51</f>
        <v>8626.27</v>
      </c>
      <c r="L24" s="139">
        <f>F24/32704.51*100</f>
        <v>126.37639273604773</v>
      </c>
      <c r="M24" s="137">
        <f>E24-травень!E24</f>
        <v>8353</v>
      </c>
      <c r="N24" s="137">
        <f>F24-травень!F24</f>
        <v>151.97999999999593</v>
      </c>
      <c r="O24" s="138">
        <f t="shared" si="3"/>
        <v>-8201.020000000004</v>
      </c>
      <c r="P24" s="136">
        <f t="shared" si="5"/>
        <v>1.8194660600981196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33.2</v>
      </c>
      <c r="G25" s="43">
        <f t="shared" si="0"/>
        <v>11.000000000000004</v>
      </c>
      <c r="H25" s="35">
        <f t="shared" si="4"/>
        <v>149.54954954954957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E25-травень!E25</f>
        <v>4.699999999999999</v>
      </c>
      <c r="N25" s="35">
        <f>F25-травень!F25</f>
        <v>0</v>
      </c>
      <c r="O25" s="47">
        <f t="shared" si="3"/>
        <v>-4.699999999999999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E26-травень!E26</f>
        <v>0</v>
      </c>
      <c r="N26" s="35">
        <f>F26-травень!F26</f>
        <v>0</v>
      </c>
      <c r="O26" s="47">
        <f t="shared" si="3"/>
        <v>0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42912.65</v>
      </c>
      <c r="G27" s="43">
        <f t="shared" si="0"/>
        <v>4742.6500000000015</v>
      </c>
      <c r="H27" s="35">
        <f t="shared" si="4"/>
        <v>112.42507204610952</v>
      </c>
      <c r="I27" s="50">
        <f t="shared" si="1"/>
        <v>-25587.35</v>
      </c>
      <c r="J27" s="178">
        <f t="shared" si="6"/>
        <v>62.64620437956204</v>
      </c>
      <c r="K27" s="132">
        <f>F27-35174.22</f>
        <v>7738.43</v>
      </c>
      <c r="L27" s="132">
        <f>F27/35174.22*100</f>
        <v>122.0002888479119</v>
      </c>
      <c r="M27" s="35">
        <f>E27-травень!E27</f>
        <v>2350</v>
      </c>
      <c r="N27" s="35">
        <f>F27-травень!F27</f>
        <v>178.36000000000058</v>
      </c>
      <c r="O27" s="47">
        <f t="shared" si="3"/>
        <v>-2171.6399999999994</v>
      </c>
      <c r="P27" s="50">
        <f t="shared" si="5"/>
        <v>7.589787234042578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10881.42</v>
      </c>
      <c r="G29" s="135">
        <f t="shared" si="0"/>
        <v>1141.42</v>
      </c>
      <c r="H29" s="137">
        <f t="shared" si="4"/>
        <v>111.7188911704312</v>
      </c>
      <c r="I29" s="136">
        <f t="shared" si="1"/>
        <v>-5618.58</v>
      </c>
      <c r="J29" s="136">
        <f t="shared" si="6"/>
        <v>65.948</v>
      </c>
      <c r="K29" s="139">
        <f>F29-9886.89</f>
        <v>994.5300000000007</v>
      </c>
      <c r="L29" s="139">
        <f>F29/9886.89*100</f>
        <v>110.05907823390369</v>
      </c>
      <c r="M29" s="137">
        <f>E29-травень!E29</f>
        <v>600</v>
      </c>
      <c r="N29" s="137">
        <f>F29-травень!F29</f>
        <v>55.969999999999345</v>
      </c>
      <c r="O29" s="138">
        <f t="shared" si="3"/>
        <v>-544.0300000000007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32025.47</v>
      </c>
      <c r="G30" s="135">
        <f t="shared" si="0"/>
        <v>3595.470000000001</v>
      </c>
      <c r="H30" s="137">
        <f t="shared" si="4"/>
        <v>112.64674639465353</v>
      </c>
      <c r="I30" s="136">
        <f t="shared" si="1"/>
        <v>-19974.53</v>
      </c>
      <c r="J30" s="136">
        <f t="shared" si="6"/>
        <v>61.58744230769231</v>
      </c>
      <c r="K30" s="139">
        <f>F30-25287.05</f>
        <v>6738.420000000002</v>
      </c>
      <c r="L30" s="139">
        <f>F30/25287.05*100</f>
        <v>126.64771098249896</v>
      </c>
      <c r="M30" s="137">
        <f>E30-травень!E30</f>
        <v>1750</v>
      </c>
      <c r="N30" s="137">
        <f>F30-травень!F30</f>
        <v>122.38999999999942</v>
      </c>
      <c r="O30" s="138">
        <f t="shared" si="3"/>
        <v>-1627.6100000000006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4020.62</v>
      </c>
      <c r="G32" s="43">
        <f t="shared" si="0"/>
        <v>25.81999999999971</v>
      </c>
      <c r="H32" s="35">
        <f t="shared" si="4"/>
        <v>100.646340242315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E32-травень!E32</f>
        <v>0.3000000000001819</v>
      </c>
      <c r="N32" s="35">
        <f>F32-травень!F32</f>
        <v>0</v>
      </c>
      <c r="O32" s="47">
        <f t="shared" si="3"/>
        <v>-0.3000000000001819</v>
      </c>
      <c r="P32" s="50">
        <f t="shared" si="5"/>
        <v>0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13075.109999999999</v>
      </c>
      <c r="G33" s="44">
        <f t="shared" si="0"/>
        <v>6957.609999999999</v>
      </c>
      <c r="H33" s="45">
        <f>F33/E33*100</f>
        <v>213.73289742541886</v>
      </c>
      <c r="I33" s="31">
        <f t="shared" si="1"/>
        <v>508.0099999999984</v>
      </c>
      <c r="J33" s="31">
        <f t="shared" si="6"/>
        <v>104.0423805014681</v>
      </c>
      <c r="K33" s="18">
        <f>K34+K35+K36+K37+K38+K41+K42+K47+K48+K52+K40</f>
        <v>7724.82</v>
      </c>
      <c r="L33" s="18"/>
      <c r="M33" s="18">
        <f>M34+M35+M36+M37+M38+M41+M42+M47+M48+M52+M40+M39</f>
        <v>954.5</v>
      </c>
      <c r="N33" s="18">
        <f>N34+N35+N36+N37+N38+N41+N42+N47+N48+N52+N40+N39</f>
        <v>79.58000000000024</v>
      </c>
      <c r="O33" s="49">
        <f t="shared" si="3"/>
        <v>-874.9199999999997</v>
      </c>
      <c r="P33" s="31">
        <f>N33/M33*100</f>
        <v>8.337349397590387</v>
      </c>
      <c r="Q33" s="31">
        <f>N33-1017.63</f>
        <v>-938.0499999999997</v>
      </c>
      <c r="R33" s="127">
        <f>N33/1017.63</f>
        <v>0.0782013108890267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0"/>
        <v>112.8</v>
      </c>
      <c r="H36" s="35"/>
      <c r="I36" s="50">
        <f t="shared" si="1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E36-травень!E36</f>
        <v>0</v>
      </c>
      <c r="N36" s="35">
        <f>F36-травень!F36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F37-5.08</f>
        <v>-5.08</v>
      </c>
      <c r="L37" s="50">
        <f>F37/5.08*100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66.03</v>
      </c>
      <c r="G38" s="43">
        <f t="shared" si="0"/>
        <v>1.0300000000000011</v>
      </c>
      <c r="H38" s="35">
        <f>F38/E38*100</f>
        <v>101.58461538461539</v>
      </c>
      <c r="I38" s="50">
        <f t="shared" si="1"/>
        <v>-73.97</v>
      </c>
      <c r="J38" s="50">
        <f t="shared" si="6"/>
        <v>47.16428571428571</v>
      </c>
      <c r="K38" s="50">
        <f>F38-47.09</f>
        <v>18.939999999999998</v>
      </c>
      <c r="L38" s="50">
        <f>F38/47.09*100</f>
        <v>140.22085368443405</v>
      </c>
      <c r="M38" s="35">
        <f>E38-травень!E38</f>
        <v>14</v>
      </c>
      <c r="N38" s="35">
        <f>F38-травень!F38</f>
        <v>0.8499999999999943</v>
      </c>
      <c r="O38" s="47">
        <f t="shared" si="3"/>
        <v>-13.150000000000006</v>
      </c>
      <c r="P38" s="50">
        <f>N38/M38*100</f>
        <v>6.071428571428531</v>
      </c>
      <c r="Q38" s="50">
        <f>N38-9.02</f>
        <v>-8.170000000000005</v>
      </c>
      <c r="R38" s="126">
        <f>N38/9.02</f>
        <v>0.09423503325942288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E39-травень!E39</f>
        <v>0</v>
      </c>
      <c r="N39" s="35">
        <f>F39-травень!F39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4139.34</v>
      </c>
      <c r="G40" s="43"/>
      <c r="H40" s="35"/>
      <c r="I40" s="50">
        <f t="shared" si="1"/>
        <v>4139.34</v>
      </c>
      <c r="J40" s="50"/>
      <c r="K40" s="50">
        <f>F40-0</f>
        <v>4139.34</v>
      </c>
      <c r="L40" s="50"/>
      <c r="M40" s="35">
        <f>E40-травень!E40</f>
        <v>0</v>
      </c>
      <c r="N40" s="35">
        <f>F40-травень!F40</f>
        <v>23.800000000000182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3403.14</v>
      </c>
      <c r="G41" s="43">
        <f t="shared" si="0"/>
        <v>-116.86000000000013</v>
      </c>
      <c r="H41" s="35">
        <f>F41/E41*100</f>
        <v>96.68011363636363</v>
      </c>
      <c r="I41" s="50">
        <f t="shared" si="1"/>
        <v>-3496.86</v>
      </c>
      <c r="J41" s="50">
        <f t="shared" si="6"/>
        <v>49.32086956521739</v>
      </c>
      <c r="K41" s="50">
        <f>F41-2962.16</f>
        <v>440.98</v>
      </c>
      <c r="L41" s="50">
        <f>F41/2962.16*100</f>
        <v>114.88710940664922</v>
      </c>
      <c r="M41" s="35">
        <f>E41-травень!E41</f>
        <v>550</v>
      </c>
      <c r="N41" s="35">
        <f>F41-травень!F41</f>
        <v>0</v>
      </c>
      <c r="O41" s="47">
        <f t="shared" si="3"/>
        <v>-550</v>
      </c>
      <c r="P41" s="50">
        <f>N41/M41*100</f>
        <v>0</v>
      </c>
      <c r="Q41" s="50">
        <f>N41-647.49</f>
        <v>-647.49</v>
      </c>
      <c r="R41" s="126">
        <f>N41/647.49</f>
        <v>0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3395.18</v>
      </c>
      <c r="G42" s="43">
        <f t="shared" si="0"/>
        <v>2945.18</v>
      </c>
      <c r="H42" s="35">
        <f>F42/E42*100</f>
        <v>754.4844444444444</v>
      </c>
      <c r="I42" s="50">
        <f t="shared" si="1"/>
        <v>2295.18</v>
      </c>
      <c r="J42" s="50">
        <f t="shared" si="6"/>
        <v>308.65272727272725</v>
      </c>
      <c r="K42" s="50">
        <f>F42-350.98</f>
        <v>3044.2</v>
      </c>
      <c r="L42" s="50">
        <f>F42/350.98*100</f>
        <v>967.3428685395178</v>
      </c>
      <c r="M42" s="35">
        <f>E42-травень!E42</f>
        <v>70</v>
      </c>
      <c r="N42" s="35">
        <f>F42-травень!F42</f>
        <v>26.579999999999927</v>
      </c>
      <c r="O42" s="47">
        <f t="shared" si="3"/>
        <v>-43.42000000000007</v>
      </c>
      <c r="P42" s="50">
        <f>N42/M42*100</f>
        <v>37.97142857142847</v>
      </c>
      <c r="Q42" s="50">
        <f>N42-79.51</f>
        <v>-52.93000000000008</v>
      </c>
      <c r="R42" s="126">
        <f>N42/79.51</f>
        <v>0.33429757263237236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399.03</v>
      </c>
      <c r="G43" s="135">
        <f t="shared" si="0"/>
        <v>9.029999999999973</v>
      </c>
      <c r="H43" s="137">
        <f>F43/E43*100</f>
        <v>102.3153846153846</v>
      </c>
      <c r="I43" s="136">
        <f t="shared" si="1"/>
        <v>-570.97</v>
      </c>
      <c r="J43" s="136">
        <f t="shared" si="6"/>
        <v>41.13711340206186</v>
      </c>
      <c r="K43" s="136">
        <f>F43-304.83</f>
        <v>94.19999999999999</v>
      </c>
      <c r="L43" s="136">
        <f>F43/304.83*100</f>
        <v>130.90247022930814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0"/>
        <v>44.74</v>
      </c>
      <c r="H44" s="137"/>
      <c r="I44" s="136">
        <f t="shared" si="1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2950.68</v>
      </c>
      <c r="G46" s="135">
        <f t="shared" si="0"/>
        <v>2870.68</v>
      </c>
      <c r="H46" s="137">
        <f>F46/E46*100</f>
        <v>3688.35</v>
      </c>
      <c r="I46" s="136">
        <f t="shared" si="1"/>
        <v>2820.68</v>
      </c>
      <c r="J46" s="136">
        <f t="shared" si="6"/>
        <v>2269.753846153846</v>
      </c>
      <c r="K46" s="136">
        <f>F46-46.16</f>
        <v>2904.52</v>
      </c>
      <c r="L46" s="136">
        <f>F46/46.16*100</f>
        <v>6392.287694974004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</f>
        <v>0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1856.22</v>
      </c>
      <c r="G48" s="43">
        <f t="shared" si="0"/>
        <v>-123.77999999999997</v>
      </c>
      <c r="H48" s="35">
        <f>F48/E48*100</f>
        <v>93.74848484848485</v>
      </c>
      <c r="I48" s="50">
        <f t="shared" si="1"/>
        <v>-2343.7799999999997</v>
      </c>
      <c r="J48" s="50">
        <f>F48/D48*100</f>
        <v>44.19571428571429</v>
      </c>
      <c r="K48" s="50">
        <f>F48-1649.93</f>
        <v>206.28999999999996</v>
      </c>
      <c r="L48" s="50">
        <f>F48/1649.93*100</f>
        <v>112.50295467080423</v>
      </c>
      <c r="M48" s="35">
        <f>E48-травень!E48</f>
        <v>310</v>
      </c>
      <c r="N48" s="35">
        <f>F48-травень!F48</f>
        <v>28.350000000000136</v>
      </c>
      <c r="O48" s="47">
        <f t="shared" si="3"/>
        <v>-281.64999999999986</v>
      </c>
      <c r="P48" s="50">
        <f aca="true" t="shared" si="7" ref="P48:P53">N48/M48*100</f>
        <v>9.145161290322624</v>
      </c>
      <c r="Q48" s="50">
        <f>N48-277.38</f>
        <v>-249.02999999999986</v>
      </c>
      <c r="R48" s="126">
        <f>N48/277.38</f>
        <v>0.10220635950681425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0"/>
        <v>432.9</v>
      </c>
      <c r="H51" s="137"/>
      <c r="I51" s="136">
        <f t="shared" si="1"/>
        <v>432.9</v>
      </c>
      <c r="J51" s="136"/>
      <c r="K51" s="136">
        <f>F51-290</f>
        <v>142.89999999999998</v>
      </c>
      <c r="L51" s="138">
        <f>F51/290*100</f>
        <v>149.2758620689655</v>
      </c>
      <c r="M51" s="137">
        <f>E51-травень!E51</f>
        <v>0</v>
      </c>
      <c r="N51" s="137">
        <f>F51-травень!F51</f>
        <v>0</v>
      </c>
      <c r="O51" s="138">
        <f t="shared" si="3"/>
        <v>0</v>
      </c>
      <c r="P51" s="136"/>
      <c r="Q51" s="50">
        <f>N51-64.93</f>
        <v>-64.93</v>
      </c>
      <c r="R51" s="126">
        <f>N51/64.93</f>
        <v>0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1"/>
        <v>-13</v>
      </c>
      <c r="J52" s="50"/>
      <c r="K52" s="50">
        <f>F52-13.28</f>
        <v>-13.28</v>
      </c>
      <c r="L52" s="50">
        <f>F52/13.28*100</f>
        <v>0</v>
      </c>
      <c r="M52" s="35">
        <f>E52-травень!E52</f>
        <v>0</v>
      </c>
      <c r="N52" s="35">
        <f>F52-травень!F52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F54-0.04</f>
        <v>-0.02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266414.47000000003</v>
      </c>
      <c r="G55" s="44">
        <f>F55-E55</f>
        <v>-4225.729999999923</v>
      </c>
      <c r="H55" s="45">
        <f>F55/E55*100</f>
        <v>98.43861702733004</v>
      </c>
      <c r="I55" s="31">
        <f>F55-D55</f>
        <v>-263608.12999999995</v>
      </c>
      <c r="J55" s="31">
        <f>F55/D55*100</f>
        <v>50.26473776778576</v>
      </c>
      <c r="K55" s="31">
        <f>K8+K33+K53+K54</f>
        <v>65403.55000000002</v>
      </c>
      <c r="L55" s="31">
        <f>(K55/(F55+K55))*100</f>
        <v>19.710668516435607</v>
      </c>
      <c r="M55" s="18">
        <f>M8+M33+M53+M54</f>
        <v>41940.89999999999</v>
      </c>
      <c r="N55" s="18">
        <f>N8+N33+N53+N54</f>
        <v>680.3000000000123</v>
      </c>
      <c r="O55" s="49">
        <f>N55-M55</f>
        <v>-41260.59999999998</v>
      </c>
      <c r="P55" s="31">
        <f>N55/M55*100</f>
        <v>1.6220443528870685</v>
      </c>
      <c r="Q55" s="31">
        <f>N55-34768</f>
        <v>-34087.69999999999</v>
      </c>
      <c r="R55" s="171">
        <f>N55/34768</f>
        <v>0.019566843074091473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8" ref="G61:G68">F61-E61</f>
        <v>-19.39</v>
      </c>
      <c r="H61" s="35"/>
      <c r="I61" s="53">
        <f aca="true" t="shared" si="9" ref="I61:I68">F61-D61</f>
        <v>-19.39</v>
      </c>
      <c r="J61" s="53"/>
      <c r="K61" s="47">
        <f>F61-119.54</f>
        <v>-138.93</v>
      </c>
      <c r="L61" s="53"/>
      <c r="M61" s="35">
        <v>0</v>
      </c>
      <c r="N61" s="36">
        <f>F61-травень!F61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8"/>
        <v>-19.39</v>
      </c>
      <c r="H62" s="65"/>
      <c r="I62" s="54">
        <f t="shared" si="9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193.97</v>
      </c>
      <c r="G64" s="43">
        <f t="shared" si="8"/>
        <v>-206.03</v>
      </c>
      <c r="H64" s="35"/>
      <c r="I64" s="53">
        <f t="shared" si="9"/>
        <v>-2306.03</v>
      </c>
      <c r="J64" s="53">
        <f t="shared" si="11"/>
        <v>7.758800000000001</v>
      </c>
      <c r="K64" s="53">
        <f>F64-1611.93</f>
        <v>-1417.96</v>
      </c>
      <c r="L64" s="53">
        <f>F64/1611.93*100</f>
        <v>12.033400954135725</v>
      </c>
      <c r="M64" s="35">
        <f>E64-травень!E64</f>
        <v>0</v>
      </c>
      <c r="N64" s="35">
        <f>F64-травень!F64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1668.2</v>
      </c>
      <c r="G66" s="43">
        <f t="shared" si="8"/>
        <v>927.7</v>
      </c>
      <c r="H66" s="35">
        <f>F66/E66*100</f>
        <v>225.28021607022285</v>
      </c>
      <c r="I66" s="53">
        <f t="shared" si="9"/>
        <v>-1331.8</v>
      </c>
      <c r="J66" s="53">
        <f t="shared" si="11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E66-травень!E66</f>
        <v>148.10000000000002</v>
      </c>
      <c r="N66" s="35">
        <f>F66-травень!F66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4329.68</v>
      </c>
      <c r="G67" s="55">
        <f t="shared" si="8"/>
        <v>689.4800000000005</v>
      </c>
      <c r="H67" s="65">
        <f>F67/E67*100</f>
        <v>118.94071754299216</v>
      </c>
      <c r="I67" s="54">
        <f t="shared" si="9"/>
        <v>-12746.32</v>
      </c>
      <c r="J67" s="54">
        <f t="shared" si="11"/>
        <v>25.355352541578824</v>
      </c>
      <c r="K67" s="54">
        <f>K64+K65+K66</f>
        <v>-53.789999999999736</v>
      </c>
      <c r="L67" s="54"/>
      <c r="M67" s="55">
        <f>M64+M65+M66</f>
        <v>584.14</v>
      </c>
      <c r="N67" s="55">
        <f>N64+N65+N66</f>
        <v>0.009999999999990905</v>
      </c>
      <c r="O67" s="54">
        <f t="shared" si="10"/>
        <v>-584.13</v>
      </c>
      <c r="P67" s="54">
        <f>N67/M67*100</f>
        <v>0.0017119183757302882</v>
      </c>
      <c r="Q67" s="54">
        <f>N67-7985.28</f>
        <v>-7985.2699999999995</v>
      </c>
      <c r="R67" s="173">
        <f>N67/7985.28</f>
        <v>1.2523042398000953E-06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F68-10.71</f>
        <v>-10.71</v>
      </c>
      <c r="L68" s="53">
        <f>F68/10.71*100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4325.49</v>
      </c>
      <c r="G74" s="44">
        <f>F74-E74</f>
        <v>639.5</v>
      </c>
      <c r="H74" s="45">
        <f>F74/E74*100</f>
        <v>117.34947734529936</v>
      </c>
      <c r="I74" s="31">
        <f>F74-D74</f>
        <v>-12846.51</v>
      </c>
      <c r="J74" s="31">
        <f>F74/D74*100</f>
        <v>25.18920335429769</v>
      </c>
      <c r="K74" s="31">
        <f>K62+K67+K71+K72</f>
        <v>-218.27999999999975</v>
      </c>
      <c r="L74" s="31"/>
      <c r="M74" s="27">
        <f>M62+M72+M67+M71</f>
        <v>595.14</v>
      </c>
      <c r="N74" s="27">
        <f>N62+N72+N67+N71+N73</f>
        <v>0.009999999999990905</v>
      </c>
      <c r="O74" s="31">
        <f>N74-M74</f>
        <v>-595.13</v>
      </c>
      <c r="P74" s="31">
        <f>N74/M74*100</f>
        <v>0.0016802769096331796</v>
      </c>
      <c r="Q74" s="31">
        <f>N74-8104.96</f>
        <v>-8104.95</v>
      </c>
      <c r="R74" s="127">
        <f>N74/8104.96</f>
        <v>1.2338123815528892E-06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270739.96</v>
      </c>
      <c r="G75" s="44">
        <f>F75-E75</f>
        <v>-3586.229999999923</v>
      </c>
      <c r="H75" s="45">
        <f>F75/E75*100</f>
        <v>98.69271322581343</v>
      </c>
      <c r="I75" s="31">
        <f>F75-D75</f>
        <v>-276454.63999999996</v>
      </c>
      <c r="J75" s="31">
        <f>F75/D75*100</f>
        <v>49.477820139306935</v>
      </c>
      <c r="K75" s="31">
        <f>K55+K74</f>
        <v>65185.27000000002</v>
      </c>
      <c r="L75" s="31"/>
      <c r="M75" s="18">
        <f>M55+M74</f>
        <v>42536.039999999986</v>
      </c>
      <c r="N75" s="18">
        <f>N55+N74</f>
        <v>680.3100000000123</v>
      </c>
      <c r="O75" s="31">
        <f>N75-M75</f>
        <v>-41855.729999999974</v>
      </c>
      <c r="P75" s="31">
        <f>N75/M75*100</f>
        <v>1.5993731433391838</v>
      </c>
      <c r="Q75" s="31">
        <f>N75-42872.96</f>
        <v>-42192.64999999999</v>
      </c>
      <c r="R75" s="127">
        <f>N75/42872.96</f>
        <v>0.015868043634029754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19</v>
      </c>
      <c r="D77" s="4" t="s">
        <v>118</v>
      </c>
    </row>
    <row r="78" spans="2:17" ht="31.5">
      <c r="B78" s="71" t="s">
        <v>154</v>
      </c>
      <c r="C78" s="34">
        <f>IF(O55&lt;0,ABS(O55/C77),0)</f>
        <v>2171.6105263157883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42157</v>
      </c>
      <c r="D79" s="34">
        <v>680.3</v>
      </c>
      <c r="N79" s="214"/>
      <c r="O79" s="214"/>
    </row>
    <row r="80" spans="3:15" ht="15.75">
      <c r="C80" s="111">
        <v>42153</v>
      </c>
      <c r="D80" s="34">
        <v>6592.1</v>
      </c>
      <c r="F80" s="155" t="s">
        <v>166</v>
      </c>
      <c r="G80" s="205"/>
      <c r="H80" s="205"/>
      <c r="I80" s="177"/>
      <c r="J80" s="212"/>
      <c r="K80" s="212"/>
      <c r="L80" s="212"/>
      <c r="M80" s="212"/>
      <c r="N80" s="214"/>
      <c r="O80" s="214"/>
    </row>
    <row r="81" spans="3:15" ht="15.75" customHeight="1">
      <c r="C81" s="111">
        <v>42152</v>
      </c>
      <c r="D81" s="34">
        <v>5845.4</v>
      </c>
      <c r="G81" s="211" t="s">
        <v>151</v>
      </c>
      <c r="H81" s="211"/>
      <c r="I81" s="106">
        <v>8909.73221</v>
      </c>
      <c r="J81" s="213"/>
      <c r="K81" s="213"/>
      <c r="L81" s="213"/>
      <c r="M81" s="213"/>
      <c r="N81" s="214"/>
      <c r="O81" s="214"/>
    </row>
    <row r="82" spans="7:13" ht="15.75" customHeight="1">
      <c r="G82" s="215" t="s">
        <v>234</v>
      </c>
      <c r="H82" s="216"/>
      <c r="I82" s="103">
        <v>0</v>
      </c>
      <c r="J82" s="212"/>
      <c r="K82" s="212"/>
      <c r="L82" s="212"/>
      <c r="M82" s="212"/>
    </row>
    <row r="83" spans="2:13" ht="18.75" customHeight="1">
      <c r="B83" s="209" t="s">
        <v>160</v>
      </c>
      <c r="C83" s="210"/>
      <c r="D83" s="108">
        <v>155785.77680000002</v>
      </c>
      <c r="E83" s="73"/>
      <c r="F83" s="156" t="s">
        <v>147</v>
      </c>
      <c r="G83" s="211" t="s">
        <v>149</v>
      </c>
      <c r="H83" s="211"/>
      <c r="I83" s="107">
        <v>146876.04459</v>
      </c>
      <c r="J83" s="212"/>
      <c r="K83" s="212"/>
      <c r="L83" s="212"/>
      <c r="M83" s="212"/>
    </row>
    <row r="84" spans="7:12" ht="9.75" customHeight="1">
      <c r="G84" s="205"/>
      <c r="H84" s="205"/>
      <c r="I84" s="90"/>
      <c r="J84" s="91"/>
      <c r="K84" s="91"/>
      <c r="L84" s="91"/>
    </row>
    <row r="85" spans="2:12" ht="22.5" customHeight="1" hidden="1">
      <c r="B85" s="206" t="s">
        <v>167</v>
      </c>
      <c r="C85" s="207"/>
      <c r="D85" s="110">
        <v>0</v>
      </c>
      <c r="E85" s="70" t="s">
        <v>104</v>
      </c>
      <c r="G85" s="205"/>
      <c r="H85" s="205"/>
      <c r="I85" s="90"/>
      <c r="J85" s="91"/>
      <c r="K85" s="91"/>
      <c r="L85" s="91"/>
    </row>
    <row r="86" spans="4:15" ht="15.75">
      <c r="D86" s="105"/>
      <c r="N86" s="205"/>
      <c r="O86" s="205"/>
    </row>
    <row r="87" spans="4:15" ht="15.75">
      <c r="D87" s="104"/>
      <c r="I87" s="34"/>
      <c r="N87" s="208"/>
      <c r="O87" s="208"/>
    </row>
    <row r="88" spans="14:15" ht="15.75">
      <c r="N88" s="205"/>
      <c r="O88" s="205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87" sqref="D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14"/>
      <c r="O79" s="214"/>
    </row>
    <row r="80" spans="3:15" ht="15.75">
      <c r="C80" s="111">
        <v>42152</v>
      </c>
      <c r="D80" s="34">
        <v>5845.4</v>
      </c>
      <c r="F80" s="155" t="s">
        <v>166</v>
      </c>
      <c r="G80" s="205"/>
      <c r="H80" s="205"/>
      <c r="I80" s="177"/>
      <c r="J80" s="212"/>
      <c r="K80" s="212"/>
      <c r="L80" s="212"/>
      <c r="M80" s="212"/>
      <c r="N80" s="214"/>
      <c r="O80" s="214"/>
    </row>
    <row r="81" spans="3:15" ht="15.75" customHeight="1">
      <c r="C81" s="111">
        <v>42151</v>
      </c>
      <c r="D81" s="34">
        <v>3158.7</v>
      </c>
      <c r="G81" s="211" t="s">
        <v>151</v>
      </c>
      <c r="H81" s="211"/>
      <c r="I81" s="106">
        <v>8909.73221</v>
      </c>
      <c r="J81" s="213"/>
      <c r="K81" s="213"/>
      <c r="L81" s="213"/>
      <c r="M81" s="213"/>
      <c r="N81" s="214"/>
      <c r="O81" s="214"/>
    </row>
    <row r="82" spans="7:13" ht="15.75" customHeight="1">
      <c r="G82" s="215" t="s">
        <v>234</v>
      </c>
      <c r="H82" s="216"/>
      <c r="I82" s="103">
        <v>0</v>
      </c>
      <c r="J82" s="212"/>
      <c r="K82" s="212"/>
      <c r="L82" s="212"/>
      <c r="M82" s="212"/>
    </row>
    <row r="83" spans="2:13" ht="18.75" customHeight="1">
      <c r="B83" s="209" t="s">
        <v>160</v>
      </c>
      <c r="C83" s="210"/>
      <c r="D83" s="108">
        <v>153606.78</v>
      </c>
      <c r="E83" s="73"/>
      <c r="F83" s="156" t="s">
        <v>147</v>
      </c>
      <c r="G83" s="211" t="s">
        <v>149</v>
      </c>
      <c r="H83" s="211"/>
      <c r="I83" s="107">
        <v>144697.05</v>
      </c>
      <c r="J83" s="212"/>
      <c r="K83" s="212"/>
      <c r="L83" s="212"/>
      <c r="M83" s="212"/>
    </row>
    <row r="84" spans="7:12" ht="9.75" customHeight="1">
      <c r="G84" s="205"/>
      <c r="H84" s="205"/>
      <c r="I84" s="90"/>
      <c r="J84" s="91"/>
      <c r="K84" s="91"/>
      <c r="L84" s="91"/>
    </row>
    <row r="85" spans="2:12" ht="22.5" customHeight="1" hidden="1">
      <c r="B85" s="206" t="s">
        <v>167</v>
      </c>
      <c r="C85" s="207"/>
      <c r="D85" s="110">
        <v>0</v>
      </c>
      <c r="E85" s="70" t="s">
        <v>104</v>
      </c>
      <c r="G85" s="205"/>
      <c r="H85" s="205"/>
      <c r="I85" s="90"/>
      <c r="J85" s="91"/>
      <c r="K85" s="91"/>
      <c r="L85" s="91"/>
    </row>
    <row r="86" spans="4:15" ht="15.75">
      <c r="D86" s="105"/>
      <c r="N86" s="205"/>
      <c r="O86" s="205"/>
    </row>
    <row r="87" spans="4:15" ht="15.75">
      <c r="D87" s="104"/>
      <c r="I87" s="34"/>
      <c r="N87" s="208"/>
      <c r="O87" s="208"/>
    </row>
    <row r="88" spans="14:15" ht="15.75">
      <c r="N88" s="205"/>
      <c r="O88" s="205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14"/>
      <c r="O104" s="214"/>
    </row>
    <row r="105" spans="3:15" ht="15.75">
      <c r="C105" s="111">
        <v>42123</v>
      </c>
      <c r="D105" s="34">
        <v>7959.6</v>
      </c>
      <c r="F105" s="201" t="s">
        <v>166</v>
      </c>
      <c r="G105" s="205"/>
      <c r="H105" s="205"/>
      <c r="I105" s="177"/>
      <c r="J105" s="212"/>
      <c r="K105" s="212"/>
      <c r="L105" s="212"/>
      <c r="M105" s="212"/>
      <c r="N105" s="214"/>
      <c r="O105" s="214"/>
    </row>
    <row r="106" spans="3:15" ht="15.75" customHeight="1">
      <c r="C106" s="111">
        <v>42122</v>
      </c>
      <c r="D106" s="34">
        <v>4962.7</v>
      </c>
      <c r="G106" s="211" t="s">
        <v>151</v>
      </c>
      <c r="H106" s="211"/>
      <c r="I106" s="106">
        <v>8909.73221</v>
      </c>
      <c r="J106" s="213"/>
      <c r="K106" s="213"/>
      <c r="L106" s="213"/>
      <c r="M106" s="213"/>
      <c r="N106" s="214"/>
      <c r="O106" s="214"/>
    </row>
    <row r="107" spans="7:13" ht="15.75" customHeight="1">
      <c r="G107" s="215" t="s">
        <v>234</v>
      </c>
      <c r="H107" s="216"/>
      <c r="I107" s="103">
        <v>0</v>
      </c>
      <c r="J107" s="212"/>
      <c r="K107" s="212"/>
      <c r="L107" s="212"/>
      <c r="M107" s="212"/>
    </row>
    <row r="108" spans="2:13" ht="18.75" customHeight="1">
      <c r="B108" s="209" t="s">
        <v>160</v>
      </c>
      <c r="C108" s="210"/>
      <c r="D108" s="108">
        <v>154856.06924</v>
      </c>
      <c r="E108" s="73"/>
      <c r="F108" s="202" t="s">
        <v>147</v>
      </c>
      <c r="G108" s="211" t="s">
        <v>149</v>
      </c>
      <c r="H108" s="211"/>
      <c r="I108" s="107">
        <v>145946.33703</v>
      </c>
      <c r="J108" s="212"/>
      <c r="K108" s="212"/>
      <c r="L108" s="212"/>
      <c r="M108" s="212"/>
    </row>
    <row r="109" spans="7:12" ht="9.75" customHeight="1">
      <c r="G109" s="205"/>
      <c r="H109" s="205"/>
      <c r="I109" s="90"/>
      <c r="J109" s="91"/>
      <c r="K109" s="91"/>
      <c r="L109" s="91"/>
    </row>
    <row r="110" spans="2:12" ht="22.5" customHeight="1" hidden="1">
      <c r="B110" s="206" t="s">
        <v>167</v>
      </c>
      <c r="C110" s="207"/>
      <c r="D110" s="110">
        <v>0</v>
      </c>
      <c r="E110" s="70" t="s">
        <v>104</v>
      </c>
      <c r="G110" s="205"/>
      <c r="H110" s="205"/>
      <c r="I110" s="90"/>
      <c r="J110" s="91"/>
      <c r="K110" s="91"/>
      <c r="L110" s="91"/>
    </row>
    <row r="111" spans="4:15" ht="15.75">
      <c r="D111" s="105"/>
      <c r="N111" s="205"/>
      <c r="O111" s="205"/>
    </row>
    <row r="112" spans="4:15" ht="15.75">
      <c r="D112" s="104"/>
      <c r="I112" s="34"/>
      <c r="N112" s="208"/>
      <c r="O112" s="208"/>
    </row>
    <row r="113" spans="14:15" ht="15.75">
      <c r="N113" s="205"/>
      <c r="O113" s="205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14"/>
      <c r="O105" s="214"/>
    </row>
    <row r="106" spans="3:15" ht="15.75">
      <c r="C106" s="111">
        <v>42093</v>
      </c>
      <c r="D106" s="34">
        <v>8025</v>
      </c>
      <c r="F106" s="155" t="s">
        <v>166</v>
      </c>
      <c r="G106" s="205"/>
      <c r="H106" s="205"/>
      <c r="I106" s="177"/>
      <c r="J106" s="212"/>
      <c r="K106" s="212"/>
      <c r="L106" s="212"/>
      <c r="M106" s="212"/>
      <c r="N106" s="214"/>
      <c r="O106" s="214"/>
    </row>
    <row r="107" spans="3:15" ht="15.75" customHeight="1">
      <c r="C107" s="111">
        <v>42090</v>
      </c>
      <c r="D107" s="34">
        <v>4282.6</v>
      </c>
      <c r="G107" s="211" t="s">
        <v>151</v>
      </c>
      <c r="H107" s="211"/>
      <c r="I107" s="106">
        <f>8909732.21/1000</f>
        <v>8909.73221</v>
      </c>
      <c r="J107" s="213"/>
      <c r="K107" s="213"/>
      <c r="L107" s="213"/>
      <c r="M107" s="213"/>
      <c r="N107" s="214"/>
      <c r="O107" s="214"/>
    </row>
    <row r="108" spans="7:13" ht="15.75" customHeight="1">
      <c r="G108" s="215" t="s">
        <v>234</v>
      </c>
      <c r="H108" s="216"/>
      <c r="I108" s="103">
        <v>0</v>
      </c>
      <c r="J108" s="212"/>
      <c r="K108" s="212"/>
      <c r="L108" s="212"/>
      <c r="M108" s="212"/>
    </row>
    <row r="109" spans="2:13" ht="18.75" customHeight="1">
      <c r="B109" s="209" t="s">
        <v>160</v>
      </c>
      <c r="C109" s="210"/>
      <c r="D109" s="108">
        <f>147433239.77/1000</f>
        <v>147433.23977000001</v>
      </c>
      <c r="E109" s="73"/>
      <c r="F109" s="156" t="s">
        <v>147</v>
      </c>
      <c r="G109" s="211" t="s">
        <v>149</v>
      </c>
      <c r="H109" s="211"/>
      <c r="I109" s="107">
        <f>138523507.56/1000</f>
        <v>138523.50756</v>
      </c>
      <c r="J109" s="212"/>
      <c r="K109" s="212"/>
      <c r="L109" s="212"/>
      <c r="M109" s="212"/>
    </row>
    <row r="110" spans="7:12" ht="9.75" customHeight="1">
      <c r="G110" s="205"/>
      <c r="H110" s="205"/>
      <c r="I110" s="90"/>
      <c r="J110" s="91"/>
      <c r="K110" s="91"/>
      <c r="L110" s="91"/>
    </row>
    <row r="111" spans="2:12" ht="22.5" customHeight="1" hidden="1">
      <c r="B111" s="206" t="s">
        <v>167</v>
      </c>
      <c r="C111" s="207"/>
      <c r="D111" s="110">
        <v>0</v>
      </c>
      <c r="E111" s="70" t="s">
        <v>104</v>
      </c>
      <c r="G111" s="205"/>
      <c r="H111" s="205"/>
      <c r="I111" s="90"/>
      <c r="J111" s="91"/>
      <c r="K111" s="91"/>
      <c r="L111" s="91"/>
    </row>
    <row r="112" spans="4:15" ht="15.75">
      <c r="D112" s="105"/>
      <c r="N112" s="205"/>
      <c r="O112" s="205"/>
    </row>
    <row r="113" spans="4:15" ht="15.75">
      <c r="D113" s="104"/>
      <c r="I113" s="34"/>
      <c r="N113" s="208"/>
      <c r="O113" s="208"/>
    </row>
    <row r="114" spans="14:15" ht="15.75">
      <c r="N114" s="205"/>
      <c r="O114" s="20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14"/>
      <c r="O105" s="214"/>
    </row>
    <row r="106" spans="3:15" ht="15.75">
      <c r="C106" s="111">
        <v>42061</v>
      </c>
      <c r="D106" s="34">
        <v>6003.3</v>
      </c>
      <c r="F106" s="155" t="s">
        <v>166</v>
      </c>
      <c r="G106" s="205"/>
      <c r="H106" s="205"/>
      <c r="I106" s="177"/>
      <c r="J106" s="212"/>
      <c r="K106" s="212"/>
      <c r="L106" s="212"/>
      <c r="M106" s="212"/>
      <c r="N106" s="214"/>
      <c r="O106" s="214"/>
    </row>
    <row r="107" spans="3:15" ht="15.75" customHeight="1">
      <c r="C107" s="111">
        <v>42060</v>
      </c>
      <c r="D107" s="34">
        <v>1551.3</v>
      </c>
      <c r="G107" s="211" t="s">
        <v>151</v>
      </c>
      <c r="H107" s="211"/>
      <c r="I107" s="106">
        <v>8909.73221</v>
      </c>
      <c r="J107" s="213"/>
      <c r="K107" s="213"/>
      <c r="L107" s="213"/>
      <c r="M107" s="213"/>
      <c r="N107" s="214"/>
      <c r="O107" s="214"/>
    </row>
    <row r="108" spans="7:13" ht="15.75" customHeight="1">
      <c r="G108" s="249" t="s">
        <v>155</v>
      </c>
      <c r="H108" s="249"/>
      <c r="I108" s="103">
        <v>0</v>
      </c>
      <c r="J108" s="212"/>
      <c r="K108" s="212"/>
      <c r="L108" s="212"/>
      <c r="M108" s="212"/>
    </row>
    <row r="109" spans="2:13" ht="18.75" customHeight="1">
      <c r="B109" s="209" t="s">
        <v>160</v>
      </c>
      <c r="C109" s="210"/>
      <c r="D109" s="108">
        <f>138305956.27/1000</f>
        <v>138305.95627000002</v>
      </c>
      <c r="E109" s="73"/>
      <c r="F109" s="156" t="s">
        <v>147</v>
      </c>
      <c r="G109" s="211" t="s">
        <v>149</v>
      </c>
      <c r="H109" s="211"/>
      <c r="I109" s="107">
        <v>129396.23</v>
      </c>
      <c r="J109" s="212"/>
      <c r="K109" s="212"/>
      <c r="L109" s="212"/>
      <c r="M109" s="212"/>
    </row>
    <row r="110" spans="7:12" ht="9.75" customHeight="1">
      <c r="G110" s="205"/>
      <c r="H110" s="205"/>
      <c r="I110" s="90"/>
      <c r="J110" s="91"/>
      <c r="K110" s="91"/>
      <c r="L110" s="91"/>
    </row>
    <row r="111" spans="2:12" ht="22.5" customHeight="1" hidden="1">
      <c r="B111" s="206" t="s">
        <v>167</v>
      </c>
      <c r="C111" s="207"/>
      <c r="D111" s="110">
        <v>0</v>
      </c>
      <c r="E111" s="70" t="s">
        <v>104</v>
      </c>
      <c r="G111" s="205"/>
      <c r="H111" s="205"/>
      <c r="I111" s="90"/>
      <c r="J111" s="91"/>
      <c r="K111" s="91"/>
      <c r="L111" s="91"/>
    </row>
    <row r="112" spans="4:15" ht="15.75">
      <c r="D112" s="105"/>
      <c r="N112" s="205"/>
      <c r="O112" s="205"/>
    </row>
    <row r="113" spans="4:15" ht="15.75">
      <c r="D113" s="104"/>
      <c r="I113" s="34"/>
      <c r="N113" s="208"/>
      <c r="O113" s="208"/>
    </row>
    <row r="114" spans="14:15" ht="15.75">
      <c r="N114" s="205"/>
      <c r="O114" s="20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14"/>
      <c r="O103" s="214"/>
    </row>
    <row r="104" spans="3:15" ht="15.75">
      <c r="C104" s="111">
        <v>42033</v>
      </c>
      <c r="D104" s="34">
        <v>2896.5</v>
      </c>
      <c r="F104" s="155" t="s">
        <v>166</v>
      </c>
      <c r="G104" s="211" t="s">
        <v>151</v>
      </c>
      <c r="H104" s="211"/>
      <c r="I104" s="106">
        <f>'січень '!I139</f>
        <v>8909.733</v>
      </c>
      <c r="J104" s="254" t="s">
        <v>161</v>
      </c>
      <c r="K104" s="254"/>
      <c r="L104" s="254"/>
      <c r="M104" s="254"/>
      <c r="N104" s="214"/>
      <c r="O104" s="214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14"/>
      <c r="O105" s="214"/>
    </row>
    <row r="106" spans="7:13" ht="15.75" customHeight="1">
      <c r="G106" s="211" t="s">
        <v>148</v>
      </c>
      <c r="H106" s="211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09" t="s">
        <v>160</v>
      </c>
      <c r="C107" s="210"/>
      <c r="D107" s="108">
        <f>'січень '!D142</f>
        <v>132375.63</v>
      </c>
      <c r="E107" s="73"/>
      <c r="F107" s="156" t="s">
        <v>147</v>
      </c>
      <c r="G107" s="211" t="s">
        <v>149</v>
      </c>
      <c r="H107" s="211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5"/>
      <c r="H108" s="205"/>
      <c r="I108" s="90"/>
      <c r="J108" s="91"/>
      <c r="K108" s="91"/>
      <c r="L108" s="91"/>
    </row>
    <row r="109" spans="2:12" ht="22.5" customHeight="1" hidden="1">
      <c r="B109" s="206" t="s">
        <v>167</v>
      </c>
      <c r="C109" s="207"/>
      <c r="D109" s="110">
        <v>0</v>
      </c>
      <c r="E109" s="70" t="s">
        <v>104</v>
      </c>
      <c r="G109" s="205"/>
      <c r="H109" s="205"/>
      <c r="I109" s="90"/>
      <c r="J109" s="91"/>
      <c r="K109" s="91"/>
      <c r="L109" s="91"/>
    </row>
    <row r="110" spans="4:15" ht="15.75">
      <c r="D110" s="105"/>
      <c r="N110" s="205"/>
      <c r="O110" s="205"/>
    </row>
    <row r="111" spans="4:15" ht="15.75">
      <c r="D111" s="104"/>
      <c r="I111" s="34"/>
      <c r="N111" s="208"/>
      <c r="O111" s="208"/>
    </row>
    <row r="112" spans="14:15" ht="15.75">
      <c r="N112" s="205"/>
      <c r="O112" s="205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14"/>
      <c r="O138" s="214"/>
    </row>
    <row r="139" spans="3:15" ht="15.75">
      <c r="C139" s="111">
        <v>42033</v>
      </c>
      <c r="D139" s="34">
        <v>2896.5</v>
      </c>
      <c r="F139" s="155" t="s">
        <v>166</v>
      </c>
      <c r="G139" s="211" t="s">
        <v>151</v>
      </c>
      <c r="H139" s="211"/>
      <c r="I139" s="106">
        <f>8909.733</f>
        <v>8909.733</v>
      </c>
      <c r="J139" s="254" t="s">
        <v>161</v>
      </c>
      <c r="K139" s="254"/>
      <c r="L139" s="254"/>
      <c r="M139" s="254"/>
      <c r="N139" s="214"/>
      <c r="O139" s="214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14"/>
      <c r="O140" s="214"/>
    </row>
    <row r="141" spans="7:13" ht="15.75" customHeight="1">
      <c r="G141" s="211" t="s">
        <v>148</v>
      </c>
      <c r="H141" s="211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09" t="s">
        <v>160</v>
      </c>
      <c r="C142" s="210"/>
      <c r="D142" s="108">
        <f>132375.63</f>
        <v>132375.63</v>
      </c>
      <c r="E142" s="73"/>
      <c r="F142" s="156" t="s">
        <v>147</v>
      </c>
      <c r="G142" s="211" t="s">
        <v>149</v>
      </c>
      <c r="H142" s="211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5"/>
      <c r="H143" s="205"/>
      <c r="I143" s="90"/>
      <c r="J143" s="91"/>
      <c r="K143" s="91"/>
      <c r="L143" s="91"/>
    </row>
    <row r="144" spans="2:12" ht="22.5" customHeight="1" hidden="1">
      <c r="B144" s="206" t="s">
        <v>167</v>
      </c>
      <c r="C144" s="207"/>
      <c r="D144" s="110">
        <v>0</v>
      </c>
      <c r="E144" s="70" t="s">
        <v>104</v>
      </c>
      <c r="G144" s="205"/>
      <c r="H144" s="205"/>
      <c r="I144" s="90"/>
      <c r="J144" s="91"/>
      <c r="K144" s="91"/>
      <c r="L144" s="91"/>
    </row>
    <row r="145" spans="4:15" ht="15.75">
      <c r="D145" s="105"/>
      <c r="N145" s="205"/>
      <c r="O145" s="205"/>
    </row>
    <row r="146" spans="4:15" ht="15.75">
      <c r="D146" s="104"/>
      <c r="I146" s="34"/>
      <c r="N146" s="208"/>
      <c r="O146" s="208"/>
    </row>
    <row r="147" spans="14:15" ht="15.75">
      <c r="N147" s="205"/>
      <c r="O147" s="20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2015-06-03T09:44:21Z</cp:lastPrinted>
  <dcterms:created xsi:type="dcterms:W3CDTF">2003-07-28T11:27:56Z</dcterms:created>
  <dcterms:modified xsi:type="dcterms:W3CDTF">2015-06-03T13:07:42Z</dcterms:modified>
  <cp:category/>
  <cp:version/>
  <cp:contentType/>
  <cp:contentStatus/>
</cp:coreProperties>
</file>